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36" windowWidth="9408" windowHeight="5160" activeTab="1"/>
  </bookViews>
  <sheets>
    <sheet name="Лист1" sheetId="35" r:id="rId1"/>
    <sheet name="Форма" sheetId="34" r:id="rId2"/>
    <sheet name="Исходные данные" sheetId="32" r:id="rId3"/>
  </sheets>
  <definedNames>
    <definedName name="_xlnm.Print_Area" localSheetId="1">Форма!$B$1:$E$33</definedName>
  </definedNames>
  <calcPr calcId="124519" refMode="R1C1"/>
</workbook>
</file>

<file path=xl/calcChain.xml><?xml version="1.0" encoding="utf-8"?>
<calcChain xmlns="http://schemas.openxmlformats.org/spreadsheetml/2006/main">
  <c r="D13" i="34"/>
  <c r="D15"/>
  <c r="D14"/>
  <c r="D12"/>
  <c r="D4" i="32"/>
  <c r="D20"/>
  <c r="D10"/>
  <c r="D3"/>
  <c r="D6"/>
  <c r="D5" s="1"/>
  <c r="D14"/>
  <c r="D16" i="34" l="1"/>
  <c r="D11" i="32"/>
  <c r="D17" s="1"/>
  <c r="D17" i="34" l="1"/>
  <c r="D23" s="1"/>
  <c r="D22" i="32"/>
  <c r="D18" i="34" l="1"/>
  <c r="D19" s="1"/>
  <c r="D20" s="1"/>
  <c r="D21" l="1"/>
  <c r="D22" s="1"/>
  <c r="D24" l="1"/>
</calcChain>
</file>

<file path=xl/sharedStrings.xml><?xml version="1.0" encoding="utf-8"?>
<sst xmlns="http://schemas.openxmlformats.org/spreadsheetml/2006/main" count="115" uniqueCount="69">
  <si>
    <t>Цена</t>
  </si>
  <si>
    <t>сум</t>
  </si>
  <si>
    <t xml:space="preserve"> </t>
  </si>
  <si>
    <t xml:space="preserve">НАИМЕНОВАНИЕ ЗАТРАТ </t>
  </si>
  <si>
    <t>ЗАТРАТЫ НА ЭКСПЛУАТАЦИЮ МАШИН И МЕХАНИЗМОВ</t>
  </si>
  <si>
    <t xml:space="preserve">                                                                                             </t>
  </si>
  <si>
    <t xml:space="preserve">    </t>
  </si>
  <si>
    <t>Затраты на оборудование, мебель и инвентарь (Со)</t>
  </si>
  <si>
    <t>Затраты на строительные материалы, изделия и конструкции (См)</t>
  </si>
  <si>
    <t>Затраты на ОЗП с учетом начислений на соцстрах (Сзп)</t>
  </si>
  <si>
    <t>Нормативная трудоемкость объекта (Т)</t>
  </si>
  <si>
    <t>Среднегодовая заработная плата строителей по региону в расчете на месяц, определенная на основе статистических данных за предыдущие 12 месяцев, сум./месяц (Змс)</t>
  </si>
  <si>
    <t>Среднемесячный фонд рабочего времени в часах по данным Министерства труда и социальной защиты населения Республики Узбекистан (Ф)</t>
  </si>
  <si>
    <t>3.1</t>
  </si>
  <si>
    <t>3.2</t>
  </si>
  <si>
    <t>3.3</t>
  </si>
  <si>
    <t>3.4</t>
  </si>
  <si>
    <t>Коэффициент учета размера отчислений на соцстрах (Ксс)</t>
  </si>
  <si>
    <t>Затраты на эксплуатацию машин и механизмов (Сэм)</t>
  </si>
  <si>
    <t>Прочие затраты и расходы подрядчика (Пп)</t>
  </si>
  <si>
    <t>Процент (%)</t>
  </si>
  <si>
    <t>Сумма (сум)</t>
  </si>
  <si>
    <t>Прочие затраты и расходы заказчика (Пз)</t>
  </si>
  <si>
    <t>Затраты на страхование строительства объектов</t>
  </si>
  <si>
    <t>Коэффициент риска, исходя из прогноза индекса роста цен</t>
  </si>
  <si>
    <t>чел/час</t>
  </si>
  <si>
    <t>сум/месяц</t>
  </si>
  <si>
    <t>час</t>
  </si>
  <si>
    <t>%</t>
  </si>
  <si>
    <t>Исходные данные для определения стоимости объекта в текущих ценах</t>
  </si>
  <si>
    <t>тыс.сум</t>
  </si>
  <si>
    <t>Итого стоимость объекта в текущих ценах</t>
  </si>
  <si>
    <t>(тыс.сум)</t>
  </si>
  <si>
    <t>ЗАКАЗЧИК</t>
  </si>
  <si>
    <t>___________________</t>
  </si>
  <si>
    <t>МП</t>
  </si>
  <si>
    <t>№№ ПП</t>
  </si>
  <si>
    <t>Конструкции</t>
  </si>
  <si>
    <t>Коэфициент риска</t>
  </si>
  <si>
    <t>тыс.сум/ месяц</t>
  </si>
  <si>
    <t>ресурсы по проекту</t>
  </si>
  <si>
    <t>Прочие затраты заказчика по  главам</t>
  </si>
  <si>
    <t>коэфф.</t>
  </si>
  <si>
    <t xml:space="preserve">КОЭФФИЦИЕНТ РИСКА, ОПРЕДЕЛЯЕМЫЙ ИСХОДЯ ИЗ ПРОГНОЗИРУЕМОГО ИНДЕКСА РОСТА ЦЕН В СТРОИТЕЛЬСТВЕ НА ОЧЕРЕДНОЙ ГОД </t>
  </si>
  <si>
    <t>ИСПОЛНИТЕЛЬ</t>
  </si>
  <si>
    <t>Прочие расходы производственного характера</t>
  </si>
  <si>
    <t>НДС</t>
  </si>
  <si>
    <t>НАИМЕНОВАНИЕ ОБЪЕКТА</t>
  </si>
  <si>
    <t xml:space="preserve">      СТАРТОВАЯ СТОИМОСТЬ СТРОИТЕЛЬСТВА ОБЪЕКТА В ТЕКУЩИХ   ЦЕНАХ.</t>
  </si>
  <si>
    <t>Затраты на основные строительные материалы  (См)</t>
  </si>
  <si>
    <t>Затраты на кабельно-проводниковую продукцию  (См)</t>
  </si>
  <si>
    <t>Затраты на металлоконструкции  (См)</t>
  </si>
  <si>
    <t>Транспортные затраты на основные материалы-5%, заготовительно-складские расходы 2%</t>
  </si>
  <si>
    <t>Транспортные затраты на кабельно-проводниковую продукцию-1,5%, заготовительно-складские расходы 2%</t>
  </si>
  <si>
    <t>Транспортные затраты на металлоконструкции-5%, заготовительно-складские расходы 0,75%</t>
  </si>
  <si>
    <t>транспортные затраты на оборудование-2%, заготовительно-складские расходы 1,2%</t>
  </si>
  <si>
    <t>ИТОГО  СТОИМОСТЬ СТРОИТЕЛЬСТВА В ДОГОВОРНЫХ ТЕКУЩИХ ЦЕНАХ БЕЗ НДС</t>
  </si>
  <si>
    <t>ЗАТРАТЫ НА СТРАХОВАНИЕ СТРОИТЕЛЬСТВА ОБЪЕКТА 0,32 %</t>
  </si>
  <si>
    <t>ПРОЧИЕ ЗАТРАТЫ И РАСХОДЫ ПОДРЯДЧИКА 17,27%</t>
  </si>
  <si>
    <t>ПРОЧИЕ ЗАТРАТЫ ПРОИЗВОДСТВЕННОГО ХАРАКТЕРА  4,54%</t>
  </si>
  <si>
    <t>ТЕКУЩИЙ РЕМОНТ</t>
  </si>
  <si>
    <t>ИТОГО  СТОИМОСТЬ СТРОИТЕЛЬСТВА В ДОГОВОРНЫХ ТЕКУЩИХ ЦЕНАХ С НДС</t>
  </si>
  <si>
    <t>ИТОГО  СТОИМОСТЬ СТРОИТЕЛЬСТВА В ТЕКУЩИХ ЦЕНАХ С НДС</t>
  </si>
  <si>
    <t>ЗАТРАТЫ НА ОБОРУДОВАНИЕ, МЕБЕЛЬ И ИНВЕНТАРЬ С УЧЕТОМ ТРАНСПОРТНЫХ РАСХОДОВ 2%</t>
  </si>
  <si>
    <t>ЗАТРАТЫ НА ОСНОВНУЮ ЗАРАБОТНУЮ ПЛАТУ С УЧЕТОМ НАЧИСЛЕНИЙ НА СОЦИАЛЬНОЕ СТРАХОВАНИЕ  12%</t>
  </si>
  <si>
    <t>НДС  15%</t>
  </si>
  <si>
    <t xml:space="preserve">ЗАТРАТЫ НА СТРОИТЕЛЬНЫЕ МАТЕРИАЛЫ, ИЗДЕЛИЯ И КОНСТРУКЦИИ С УЧЕТОМ ТРАНСПОРТНЫХ РАСХОДОВ 5% И ЗАГОТОВИТЕЛЬНО-СКЛАДСКИХ РАСХОДОВ 0% </t>
  </si>
  <si>
    <t>ТЕКУЩИЙ РЕМОНТ МЯГКОЙ КРОВЛИ  ООО "UАТ" В Г.ТАШКЕНТЕ</t>
  </si>
  <si>
    <t>ПРОЧИЕ ЗАТРАТЫ И РАСХОДЫ ЗАКАЗЧИКА 0%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</si>
</sst>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00_р_."/>
  </numFmts>
  <fonts count="17">
    <font>
      <sz val="10"/>
      <name val="Arial Cyr"/>
      <charset val="204"/>
    </font>
    <font>
      <sz val="10"/>
      <name val="Times New Roman Cyr"/>
      <charset val="204"/>
    </font>
    <font>
      <b/>
      <sz val="12"/>
      <name val="Arial Cyr"/>
      <family val="2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0" xfId="1" applyBorder="1"/>
    <xf numFmtId="0" fontId="1" fillId="0" borderId="1" xfId="1" applyBorder="1"/>
    <xf numFmtId="0" fontId="1" fillId="0" borderId="0" xfId="1" applyFont="1"/>
    <xf numFmtId="49" fontId="4" fillId="0" borderId="0" xfId="1" applyNumberFormat="1" applyFont="1"/>
    <xf numFmtId="0" fontId="1" fillId="0" borderId="0" xfId="1" applyAlignment="1">
      <alignment shrinkToFit="1"/>
    </xf>
    <xf numFmtId="0" fontId="2" fillId="0" borderId="0" xfId="1" applyFont="1" applyAlignment="1">
      <alignment shrinkToFit="1"/>
    </xf>
    <xf numFmtId="0" fontId="1" fillId="0" borderId="2" xfId="1" applyFont="1" applyBorder="1"/>
    <xf numFmtId="0" fontId="5" fillId="0" borderId="0" xfId="1" applyFont="1"/>
    <xf numFmtId="0" fontId="1" fillId="0" borderId="0" xfId="1" applyAlignment="1"/>
    <xf numFmtId="0" fontId="1" fillId="0" borderId="0" xfId="1" applyFont="1" applyAlignment="1">
      <alignment horizontal="left" indent="4"/>
    </xf>
    <xf numFmtId="0" fontId="1" fillId="0" borderId="0" xfId="1" applyAlignment="1">
      <alignment horizontal="left" indent="4"/>
    </xf>
    <xf numFmtId="0" fontId="1" fillId="0" borderId="0" xfId="1" applyBorder="1" applyAlignment="1">
      <alignment horizontal="left" vertical="center" indent="4"/>
    </xf>
    <xf numFmtId="0" fontId="5" fillId="0" borderId="0" xfId="1" applyFont="1" applyAlignment="1">
      <alignment horizontal="left" indent="4"/>
    </xf>
    <xf numFmtId="0" fontId="1" fillId="0" borderId="0" xfId="1" applyNumberFormat="1" applyAlignment="1">
      <alignment vertical="top" wrapText="1"/>
    </xf>
    <xf numFmtId="0" fontId="1" fillId="0" borderId="2" xfId="1" applyNumberFormat="1" applyFont="1" applyBorder="1" applyAlignment="1">
      <alignment vertical="top" wrapText="1"/>
    </xf>
    <xf numFmtId="0" fontId="1" fillId="0" borderId="2" xfId="1" applyFont="1" applyBorder="1" applyAlignment="1">
      <alignment horizontal="left" indent="2"/>
    </xf>
    <xf numFmtId="0" fontId="1" fillId="0" borderId="0" xfId="1" applyBorder="1" applyAlignment="1">
      <alignment horizontal="left"/>
    </xf>
    <xf numFmtId="0" fontId="1" fillId="0" borderId="0" xfId="1" applyFont="1" applyBorder="1"/>
    <xf numFmtId="2" fontId="1" fillId="0" borderId="0" xfId="1" applyNumberFormat="1" applyBorder="1"/>
    <xf numFmtId="0" fontId="1" fillId="0" borderId="0" xfId="1" applyBorder="1" applyAlignment="1">
      <alignment horizontal="left" indent="1"/>
    </xf>
    <xf numFmtId="3" fontId="1" fillId="2" borderId="2" xfId="1" applyNumberFormat="1" applyFill="1" applyBorder="1"/>
    <xf numFmtId="0" fontId="7" fillId="0" borderId="0" xfId="1" applyFont="1"/>
    <xf numFmtId="0" fontId="1" fillId="0" borderId="3" xfId="1" applyBorder="1" applyAlignment="1">
      <alignment horizontal="left"/>
    </xf>
    <xf numFmtId="0" fontId="1" fillId="0" borderId="4" xfId="1" applyFont="1" applyBorder="1"/>
    <xf numFmtId="0" fontId="1" fillId="0" borderId="5" xfId="1" applyFont="1" applyBorder="1" applyAlignment="1">
      <alignment horizontal="left" indent="1"/>
    </xf>
    <xf numFmtId="0" fontId="1" fillId="0" borderId="6" xfId="1" applyBorder="1" applyAlignment="1">
      <alignment horizontal="left"/>
    </xf>
    <xf numFmtId="0" fontId="1" fillId="0" borderId="7" xfId="1" applyFont="1" applyBorder="1" applyAlignment="1">
      <alignment horizontal="left" indent="1"/>
    </xf>
    <xf numFmtId="49" fontId="1" fillId="0" borderId="6" xfId="1" applyNumberFormat="1" applyFont="1" applyBorder="1" applyAlignment="1">
      <alignment horizontal="left" indent="1"/>
    </xf>
    <xf numFmtId="49" fontId="1" fillId="0" borderId="6" xfId="1" applyNumberFormat="1" applyFont="1" applyBorder="1" applyAlignment="1">
      <alignment horizontal="left" vertical="top" wrapText="1" indent="1"/>
    </xf>
    <xf numFmtId="0" fontId="1" fillId="0" borderId="7" xfId="1" applyNumberFormat="1" applyFont="1" applyBorder="1" applyAlignment="1">
      <alignment horizontal="left" vertical="top" wrapText="1" indent="1"/>
    </xf>
    <xf numFmtId="0" fontId="1" fillId="0" borderId="7" xfId="1" applyBorder="1" applyAlignment="1">
      <alignment horizontal="left" indent="1"/>
    </xf>
    <xf numFmtId="0" fontId="1" fillId="0" borderId="6" xfId="1" applyBorder="1"/>
    <xf numFmtId="0" fontId="1" fillId="0" borderId="7" xfId="1" quotePrefix="1" applyFont="1" applyBorder="1" applyAlignment="1">
      <alignment horizontal="left" indent="1"/>
    </xf>
    <xf numFmtId="0" fontId="1" fillId="0" borderId="8" xfId="1" applyBorder="1" applyAlignment="1">
      <alignment horizontal="left"/>
    </xf>
    <xf numFmtId="0" fontId="1" fillId="0" borderId="9" xfId="1" applyFont="1" applyBorder="1"/>
    <xf numFmtId="0" fontId="1" fillId="0" borderId="10" xfId="1" applyBorder="1" applyAlignment="1">
      <alignment horizontal="left" indent="1"/>
    </xf>
    <xf numFmtId="0" fontId="1" fillId="0" borderId="11" xfId="1" applyBorder="1" applyAlignment="1">
      <alignment horizontal="left"/>
    </xf>
    <xf numFmtId="0" fontId="1" fillId="0" borderId="12" xfId="1" applyFont="1" applyBorder="1"/>
    <xf numFmtId="2" fontId="1" fillId="0" borderId="12" xfId="1" applyNumberFormat="1" applyBorder="1"/>
    <xf numFmtId="0" fontId="1" fillId="0" borderId="13" xfId="1" applyBorder="1" applyAlignment="1">
      <alignment horizontal="left" indent="1"/>
    </xf>
    <xf numFmtId="0" fontId="1" fillId="0" borderId="14" xfId="1" applyBorder="1" applyAlignment="1">
      <alignment horizontal="left"/>
    </xf>
    <xf numFmtId="0" fontId="1" fillId="0" borderId="15" xfId="1" applyFont="1" applyBorder="1"/>
    <xf numFmtId="0" fontId="1" fillId="0" borderId="16" xfId="1" applyFont="1" applyBorder="1" applyAlignment="1">
      <alignment horizontal="left" indent="1"/>
    </xf>
    <xf numFmtId="164" fontId="1" fillId="0" borderId="15" xfId="1" applyNumberFormat="1" applyBorder="1"/>
    <xf numFmtId="0" fontId="1" fillId="0" borderId="17" xfId="1" applyBorder="1" applyAlignment="1">
      <alignment horizontal="left"/>
    </xf>
    <xf numFmtId="0" fontId="1" fillId="0" borderId="18" xfId="1" applyFont="1" applyBorder="1" applyAlignment="1">
      <alignment horizontal="left" indent="1"/>
    </xf>
    <xf numFmtId="0" fontId="1" fillId="0" borderId="18" xfId="1" quotePrefix="1" applyFont="1" applyBorder="1" applyAlignment="1">
      <alignment horizontal="left" indent="1"/>
    </xf>
    <xf numFmtId="0" fontId="5" fillId="0" borderId="0" xfId="1" applyFont="1" applyAlignment="1">
      <alignment horizontal="left" indent="2"/>
    </xf>
    <xf numFmtId="0" fontId="5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/>
    </xf>
    <xf numFmtId="3" fontId="1" fillId="0" borderId="21" xfId="1" applyNumberFormat="1" applyBorder="1" applyAlignment="1" applyProtection="1">
      <alignment vertical="top"/>
      <protection locked="0"/>
    </xf>
    <xf numFmtId="0" fontId="1" fillId="0" borderId="2" xfId="1" applyBorder="1" applyProtection="1">
      <protection locked="0"/>
    </xf>
    <xf numFmtId="4" fontId="1" fillId="0" borderId="20" xfId="1" applyNumberFormat="1" applyBorder="1" applyProtection="1">
      <protection locked="0"/>
    </xf>
    <xf numFmtId="0" fontId="0" fillId="0" borderId="2" xfId="0" applyBorder="1"/>
    <xf numFmtId="3" fontId="1" fillId="3" borderId="4" xfId="1" applyNumberFormat="1" applyFill="1" applyBorder="1" applyProtection="1">
      <protection locked="0"/>
    </xf>
    <xf numFmtId="3" fontId="1" fillId="3" borderId="2" xfId="1" applyNumberFormat="1" applyFill="1" applyBorder="1" applyProtection="1">
      <protection locked="0"/>
    </xf>
    <xf numFmtId="4" fontId="1" fillId="3" borderId="2" xfId="1" applyNumberFormat="1" applyFill="1" applyBorder="1" applyProtection="1">
      <protection locked="0"/>
    </xf>
    <xf numFmtId="0" fontId="0" fillId="3" borderId="2" xfId="0" applyFill="1" applyBorder="1"/>
    <xf numFmtId="4" fontId="1" fillId="3" borderId="20" xfId="1" applyNumberFormat="1" applyFill="1" applyBorder="1" applyProtection="1">
      <protection locked="0"/>
    </xf>
    <xf numFmtId="165" fontId="1" fillId="3" borderId="2" xfId="1" applyNumberFormat="1" applyFill="1" applyBorder="1" applyProtection="1">
      <protection locked="0"/>
    </xf>
    <xf numFmtId="9" fontId="1" fillId="3" borderId="2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0" borderId="0" xfId="0" applyBorder="1"/>
    <xf numFmtId="0" fontId="1" fillId="0" borderId="2" xfId="1" applyNumberFormat="1" applyFont="1" applyBorder="1" applyAlignment="1">
      <alignment horizontal="left" vertical="top" wrapText="1" indent="1"/>
    </xf>
    <xf numFmtId="0" fontId="10" fillId="0" borderId="0" xfId="1" applyFont="1" applyBorder="1" applyAlignment="1">
      <alignment horizontal="left" vertical="center" wrapText="1" indent="4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5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right" vertical="center"/>
    </xf>
    <xf numFmtId="164" fontId="12" fillId="0" borderId="2" xfId="1" applyNumberFormat="1" applyFont="1" applyBorder="1" applyAlignment="1">
      <alignment horizontal="right" vertical="center"/>
    </xf>
    <xf numFmtId="164" fontId="1" fillId="0" borderId="0" xfId="1" applyNumberFormat="1"/>
    <xf numFmtId="0" fontId="12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4" borderId="2" xfId="0" applyFill="1" applyBorder="1"/>
    <xf numFmtId="0" fontId="11" fillId="0" borderId="2" xfId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3" borderId="0" xfId="0" applyFill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6" fillId="0" borderId="0" xfId="1" applyFont="1" applyAlignment="1">
      <alignment horizontal="center" wrapText="1"/>
    </xf>
  </cellXfs>
  <cellStyles count="2">
    <cellStyle name="Обычный" xfId="0" builtinId="0"/>
    <cellStyle name="Обычный_Счет-фактура Экспертиз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opLeftCell="A4" workbookViewId="0">
      <selection activeCell="D8" sqref="D8"/>
    </sheetView>
  </sheetViews>
  <sheetFormatPr defaultRowHeight="13.2"/>
  <cols>
    <col min="1" max="1" width="3.44140625" customWidth="1"/>
    <col min="2" max="2" width="2.6640625" customWidth="1"/>
    <col min="3" max="3" width="48.88671875" customWidth="1"/>
    <col min="4" max="4" width="16.109375" customWidth="1"/>
    <col min="6" max="6" width="2.44140625" customWidth="1"/>
    <col min="7" max="7" width="9.6640625" customWidth="1"/>
  </cols>
  <sheetData>
    <row r="2" spans="2:7" ht="12.75" customHeight="1">
      <c r="C2" s="93"/>
      <c r="D2" s="93"/>
      <c r="E2" s="93"/>
      <c r="F2" s="93"/>
      <c r="G2" s="90"/>
    </row>
    <row r="3" spans="2:7" ht="21.75" customHeight="1">
      <c r="C3" s="93"/>
      <c r="D3" s="93"/>
      <c r="E3" s="93"/>
      <c r="F3" s="93"/>
      <c r="G3" s="77"/>
    </row>
    <row r="4" spans="2:7" ht="24" customHeight="1">
      <c r="C4" s="91"/>
      <c r="D4" s="91"/>
      <c r="E4" s="91"/>
      <c r="F4" s="91"/>
      <c r="G4" s="77"/>
    </row>
    <row r="5" spans="2:7" ht="33" customHeight="1">
      <c r="C5" s="92" t="s">
        <v>60</v>
      </c>
      <c r="D5" s="92"/>
      <c r="E5" s="92"/>
      <c r="F5" s="92"/>
      <c r="G5" s="78"/>
    </row>
    <row r="7" spans="2:7">
      <c r="B7" s="65"/>
      <c r="C7" s="10" t="s">
        <v>10</v>
      </c>
      <c r="D7" s="69">
        <v>11394.736999999999</v>
      </c>
      <c r="E7" s="65" t="s">
        <v>25</v>
      </c>
    </row>
    <row r="8" spans="2:7" ht="39.6">
      <c r="B8" s="65"/>
      <c r="C8" s="18" t="s">
        <v>11</v>
      </c>
      <c r="D8" s="69">
        <v>3737.0276767999999</v>
      </c>
      <c r="E8" s="75" t="s">
        <v>39</v>
      </c>
    </row>
    <row r="9" spans="2:7" ht="39.6">
      <c r="B9" s="65"/>
      <c r="C9" s="18" t="s">
        <v>12</v>
      </c>
      <c r="D9" s="69">
        <v>169.58</v>
      </c>
      <c r="E9" s="75" t="s">
        <v>27</v>
      </c>
    </row>
    <row r="10" spans="2:7">
      <c r="B10" s="65"/>
      <c r="C10" s="10" t="s">
        <v>17</v>
      </c>
      <c r="D10" s="69">
        <v>1.1200000000000001</v>
      </c>
      <c r="E10" s="65" t="s">
        <v>42</v>
      </c>
    </row>
    <row r="11" spans="2:7">
      <c r="B11" s="65"/>
      <c r="C11" s="10" t="s">
        <v>18</v>
      </c>
      <c r="D11" s="69">
        <v>77822.36</v>
      </c>
      <c r="E11" s="65" t="s">
        <v>30</v>
      </c>
    </row>
    <row r="12" spans="2:7">
      <c r="B12" s="65"/>
      <c r="C12" s="10" t="s">
        <v>49</v>
      </c>
      <c r="D12" s="69">
        <v>551295.20600000001</v>
      </c>
      <c r="E12" s="65" t="s">
        <v>30</v>
      </c>
    </row>
    <row r="13" spans="2:7">
      <c r="B13" s="65"/>
      <c r="C13" s="10" t="s">
        <v>40</v>
      </c>
      <c r="D13" s="69">
        <v>450</v>
      </c>
      <c r="E13" s="65" t="s">
        <v>30</v>
      </c>
    </row>
    <row r="14" spans="2:7">
      <c r="B14" s="65"/>
      <c r="C14" s="65" t="s">
        <v>37</v>
      </c>
      <c r="D14" s="69">
        <v>0</v>
      </c>
      <c r="E14" s="65" t="s">
        <v>30</v>
      </c>
    </row>
    <row r="15" spans="2:7">
      <c r="B15" s="65"/>
      <c r="C15" s="10" t="s">
        <v>50</v>
      </c>
      <c r="D15" s="69">
        <v>0</v>
      </c>
      <c r="E15" s="65" t="s">
        <v>30</v>
      </c>
    </row>
    <row r="16" spans="2:7">
      <c r="B16" s="65"/>
      <c r="C16" s="10" t="s">
        <v>51</v>
      </c>
      <c r="D16" s="69">
        <v>0</v>
      </c>
      <c r="E16" s="65" t="s">
        <v>30</v>
      </c>
    </row>
    <row r="17" spans="2:6">
      <c r="B17" s="65"/>
      <c r="C17" s="10" t="s">
        <v>7</v>
      </c>
      <c r="D17" s="69">
        <v>0</v>
      </c>
      <c r="E17" s="65" t="s">
        <v>30</v>
      </c>
    </row>
    <row r="18" spans="2:6" ht="26.4">
      <c r="B18" s="65"/>
      <c r="C18" s="87" t="s">
        <v>52</v>
      </c>
      <c r="D18" s="69">
        <v>5</v>
      </c>
      <c r="E18" s="65" t="s">
        <v>28</v>
      </c>
    </row>
    <row r="19" spans="2:6" ht="39.6">
      <c r="B19" s="65"/>
      <c r="C19" s="87" t="s">
        <v>53</v>
      </c>
      <c r="D19" s="69">
        <v>1.5</v>
      </c>
      <c r="E19" s="65" t="s">
        <v>28</v>
      </c>
    </row>
    <row r="20" spans="2:6" ht="26.4">
      <c r="B20" s="65"/>
      <c r="C20" s="87" t="s">
        <v>54</v>
      </c>
      <c r="D20" s="69">
        <v>5.75</v>
      </c>
      <c r="E20" s="65" t="s">
        <v>28</v>
      </c>
    </row>
    <row r="21" spans="2:6" ht="26.4">
      <c r="B21" s="65"/>
      <c r="C21" s="87" t="s">
        <v>55</v>
      </c>
      <c r="D21" s="69">
        <v>2</v>
      </c>
      <c r="E21" s="65" t="s">
        <v>28</v>
      </c>
    </row>
    <row r="22" spans="2:6">
      <c r="B22" s="65"/>
      <c r="C22" s="65" t="s">
        <v>45</v>
      </c>
      <c r="D22" s="69">
        <v>0</v>
      </c>
      <c r="E22" s="65" t="s">
        <v>28</v>
      </c>
    </row>
    <row r="23" spans="2:6">
      <c r="B23" s="65"/>
      <c r="C23" s="65" t="s">
        <v>38</v>
      </c>
      <c r="D23" s="69">
        <v>0</v>
      </c>
      <c r="E23" s="65" t="s">
        <v>28</v>
      </c>
      <c r="F23" s="74"/>
    </row>
    <row r="24" spans="2:6">
      <c r="B24" s="65"/>
      <c r="C24" s="65" t="s">
        <v>19</v>
      </c>
      <c r="D24" s="69">
        <v>17.27</v>
      </c>
      <c r="E24" s="65" t="s">
        <v>28</v>
      </c>
      <c r="F24" s="74"/>
    </row>
    <row r="25" spans="2:6">
      <c r="B25" s="65"/>
      <c r="C25" s="65" t="s">
        <v>41</v>
      </c>
      <c r="D25" s="69">
        <v>0</v>
      </c>
      <c r="E25" s="65" t="s">
        <v>30</v>
      </c>
      <c r="F25" s="74"/>
    </row>
    <row r="26" spans="2:6">
      <c r="B26" s="65"/>
      <c r="C26" s="65" t="s">
        <v>22</v>
      </c>
      <c r="D26" s="69">
        <v>0</v>
      </c>
      <c r="E26" s="65" t="s">
        <v>28</v>
      </c>
      <c r="F26" s="74"/>
    </row>
    <row r="27" spans="2:6">
      <c r="B27" s="88"/>
      <c r="C27" s="65" t="s">
        <v>23</v>
      </c>
      <c r="D27" s="69">
        <v>0</v>
      </c>
      <c r="E27" s="65" t="s">
        <v>28</v>
      </c>
      <c r="F27" s="74"/>
    </row>
    <row r="28" spans="2:6">
      <c r="B28" s="88"/>
      <c r="C28" s="65" t="s">
        <v>46</v>
      </c>
      <c r="D28" s="69">
        <v>15</v>
      </c>
      <c r="E28" s="65" t="s">
        <v>28</v>
      </c>
      <c r="F28" s="74"/>
    </row>
  </sheetData>
  <mergeCells count="3">
    <mergeCell ref="C4:F4"/>
    <mergeCell ref="C5:F5"/>
    <mergeCell ref="C2:F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1"/>
  <dimension ref="B1:L38"/>
  <sheetViews>
    <sheetView tabSelected="1" topLeftCell="A22" zoomScaleSheetLayoutView="75" workbookViewId="0">
      <pane xSplit="2" topLeftCell="C1" activePane="topRight" state="frozen"/>
      <selection pane="topRight" activeCell="D23" sqref="D23"/>
    </sheetView>
  </sheetViews>
  <sheetFormatPr defaultColWidth="8.88671875" defaultRowHeight="13.2"/>
  <cols>
    <col min="1" max="1" width="4.33203125" style="1" customWidth="1"/>
    <col min="2" max="2" width="6" style="53" customWidth="1"/>
    <col min="3" max="3" width="77.33203125" style="1" customWidth="1"/>
    <col min="4" max="4" width="18.33203125" style="1" customWidth="1"/>
    <col min="5" max="5" width="1.44140625" style="1" hidden="1" customWidth="1"/>
    <col min="6" max="6" width="0.109375" style="1" hidden="1" customWidth="1"/>
    <col min="7" max="7" width="9.109375" style="1" hidden="1" customWidth="1"/>
    <col min="8" max="8" width="10.109375" style="1" hidden="1" customWidth="1"/>
    <col min="9" max="9" width="0.109375" style="1" customWidth="1"/>
    <col min="10" max="10" width="0.109375" style="1" hidden="1" customWidth="1"/>
    <col min="11" max="11" width="2.6640625" style="1" customWidth="1"/>
    <col min="12" max="16384" width="8.88671875" style="1"/>
  </cols>
  <sheetData>
    <row r="1" spans="2:12">
      <c r="C1" s="6" t="s">
        <v>5</v>
      </c>
    </row>
    <row r="2" spans="2:12" ht="15.6">
      <c r="C2" s="95" t="s">
        <v>48</v>
      </c>
      <c r="D2" s="95"/>
      <c r="E2" s="9"/>
      <c r="F2" s="8"/>
      <c r="G2" s="8"/>
      <c r="H2" s="7" t="s">
        <v>2</v>
      </c>
    </row>
    <row r="3" spans="2:12">
      <c r="C3" s="14"/>
      <c r="D3" s="14"/>
      <c r="E3" s="2"/>
    </row>
    <row r="4" spans="2:12" ht="90.6" customHeight="1">
      <c r="C4" s="93" t="s">
        <v>67</v>
      </c>
      <c r="D4" s="93"/>
      <c r="E4" s="93"/>
      <c r="F4" s="93"/>
      <c r="G4" s="93"/>
      <c r="H4" s="3"/>
    </row>
    <row r="5" spans="2:12" ht="11.25" customHeight="1">
      <c r="C5" s="97" t="s">
        <v>47</v>
      </c>
      <c r="D5" s="97"/>
      <c r="E5" s="6"/>
      <c r="G5" s="3"/>
      <c r="H5" s="3"/>
    </row>
    <row r="6" spans="2:12" ht="18">
      <c r="C6" s="76"/>
      <c r="D6" s="15"/>
    </row>
    <row r="7" spans="2:12" ht="17.399999999999999" customHeight="1">
      <c r="C7" s="98"/>
      <c r="D7" s="98"/>
      <c r="E7" s="4"/>
    </row>
    <row r="8" spans="2:12">
      <c r="C8" s="14"/>
      <c r="D8" s="13" t="s">
        <v>6</v>
      </c>
      <c r="E8" s="4"/>
      <c r="H8" s="12"/>
    </row>
    <row r="9" spans="2:12" ht="17.399999999999999">
      <c r="B9" s="96" t="s">
        <v>36</v>
      </c>
      <c r="C9" s="94" t="s">
        <v>3</v>
      </c>
      <c r="D9" s="60" t="s">
        <v>0</v>
      </c>
      <c r="E9" s="4"/>
    </row>
    <row r="10" spans="2:12" ht="17.399999999999999">
      <c r="B10" s="96"/>
      <c r="C10" s="94"/>
      <c r="D10" s="61" t="s">
        <v>32</v>
      </c>
      <c r="E10" s="4"/>
    </row>
    <row r="11" spans="2:12" ht="17.399999999999999">
      <c r="B11" s="54">
        <v>1</v>
      </c>
      <c r="C11" s="54">
        <v>2</v>
      </c>
      <c r="D11" s="59">
        <v>3</v>
      </c>
      <c r="E11" s="4"/>
    </row>
    <row r="12" spans="2:12" ht="31.2">
      <c r="B12" s="55">
        <v>1</v>
      </c>
      <c r="C12" s="56" t="s">
        <v>63</v>
      </c>
      <c r="D12" s="57">
        <f>Лист1!D17*Лист1!D21/100+Лист1!D17</f>
        <v>0</v>
      </c>
      <c r="E12" s="4"/>
    </row>
    <row r="13" spans="2:12" ht="48" customHeight="1" thickBot="1">
      <c r="B13" s="55">
        <v>2</v>
      </c>
      <c r="C13" s="56" t="s">
        <v>66</v>
      </c>
      <c r="D13" s="57">
        <f>Лист1!D12+Лист1!D12*Лист1!D18/100+Лист1!D13+Лист1!D13*Лист1!D18/100+Лист1!D14+Лист1!D14*Лист1!D18/100+Лист1!D15+Лист1!D15*Лист1!D19/100+Лист1!D16+Лист1!D16*Лист1!D20/100</f>
        <v>579332.46629999997</v>
      </c>
      <c r="J13" s="5"/>
      <c r="K13" s="4"/>
    </row>
    <row r="14" spans="2:12" ht="48" customHeight="1">
      <c r="B14" s="55">
        <v>3</v>
      </c>
      <c r="C14" s="56" t="s">
        <v>64</v>
      </c>
      <c r="D14" s="57">
        <f>Лист1!D7*Лист1!D8/Лист1!D9*Лист1!D10</f>
        <v>281238.00709706236</v>
      </c>
    </row>
    <row r="15" spans="2:12" ht="30" customHeight="1">
      <c r="B15" s="55">
        <v>4</v>
      </c>
      <c r="C15" s="56" t="s">
        <v>4</v>
      </c>
      <c r="D15" s="57">
        <f>Лист1!D11</f>
        <v>77822.36</v>
      </c>
      <c r="L15" s="84"/>
    </row>
    <row r="16" spans="2:12" ht="32.25" customHeight="1">
      <c r="B16" s="55">
        <v>5</v>
      </c>
      <c r="C16" s="58" t="s">
        <v>59</v>
      </c>
      <c r="D16" s="79">
        <f>(Форма!D13+Форма!D14+Форма!D15)*Лист1!D22/100</f>
        <v>0</v>
      </c>
      <c r="L16" s="84"/>
    </row>
    <row r="17" spans="2:4" ht="30" customHeight="1">
      <c r="B17" s="55">
        <v>6</v>
      </c>
      <c r="C17" s="58" t="s">
        <v>58</v>
      </c>
      <c r="D17" s="79">
        <f>(Форма!D13+Форма!D14+Форма!D15+Форма!D16)*Лист1!D24/100</f>
        <v>162060.44232767267</v>
      </c>
    </row>
    <row r="18" spans="2:4" ht="33.75" customHeight="1">
      <c r="B18" s="55">
        <v>7</v>
      </c>
      <c r="C18" s="58" t="s">
        <v>57</v>
      </c>
      <c r="D18" s="79">
        <f>(Форма!D12+Форма!D13+Форма!D14+Форма!D15+Форма!D16+Форма!D17)*Лист1!D27/100</f>
        <v>0</v>
      </c>
    </row>
    <row r="19" spans="2:4" ht="48" customHeight="1">
      <c r="B19" s="55">
        <v>8</v>
      </c>
      <c r="C19" s="56" t="s">
        <v>43</v>
      </c>
      <c r="D19" s="79">
        <f>(Форма!D12+Форма!D13+Форма!D14+Форма!D15+Форма!D16+Форма!D17+Форма!D18)*Лист1!D23/100</f>
        <v>0</v>
      </c>
    </row>
    <row r="20" spans="2:4" s="2" customFormat="1" ht="31.2">
      <c r="B20" s="89">
        <v>9</v>
      </c>
      <c r="C20" s="85" t="s">
        <v>56</v>
      </c>
      <c r="D20" s="83">
        <f>SUM(D12:D19)</f>
        <v>1100453.2757247351</v>
      </c>
    </row>
    <row r="21" spans="2:4" s="2" customFormat="1" ht="15.6">
      <c r="B21" s="89">
        <v>10</v>
      </c>
      <c r="C21" s="86" t="s">
        <v>65</v>
      </c>
      <c r="D21" s="79">
        <f>(Форма!D20)*Лист1!D28/100</f>
        <v>165067.99135871028</v>
      </c>
    </row>
    <row r="22" spans="2:4" s="2" customFormat="1" ht="31.2">
      <c r="B22" s="89">
        <v>11</v>
      </c>
      <c r="C22" s="85" t="s">
        <v>61</v>
      </c>
      <c r="D22" s="83">
        <f>D20+D21-0.001</f>
        <v>1265521.2660834454</v>
      </c>
    </row>
    <row r="23" spans="2:4" ht="32.25" customHeight="1">
      <c r="B23" s="89">
        <v>12</v>
      </c>
      <c r="C23" s="56" t="s">
        <v>68</v>
      </c>
      <c r="D23" s="57">
        <f>(D12+D13+D14+D15+D16+D17)*Лист1!D26/100+Лист1!D25</f>
        <v>0</v>
      </c>
    </row>
    <row r="24" spans="2:4" s="2" customFormat="1" ht="15.6">
      <c r="B24" s="89">
        <v>13</v>
      </c>
      <c r="C24" s="85" t="s">
        <v>62</v>
      </c>
      <c r="D24" s="83">
        <f>D22+D23</f>
        <v>1265521.2660834454</v>
      </c>
    </row>
    <row r="25" spans="2:4" ht="15.6">
      <c r="B25" s="80"/>
      <c r="C25" s="81"/>
      <c r="D25" s="82"/>
    </row>
    <row r="26" spans="2:4" ht="15.6">
      <c r="B26" s="80"/>
      <c r="C26" s="81"/>
      <c r="D26" s="82"/>
    </row>
    <row r="27" spans="2:4" ht="15.6">
      <c r="B27" s="80"/>
      <c r="C27" s="81"/>
      <c r="D27" s="82"/>
    </row>
    <row r="28" spans="2:4" ht="15.6">
      <c r="B28" s="80"/>
      <c r="C28" s="81"/>
      <c r="D28" s="82"/>
    </row>
    <row r="29" spans="2:4" ht="15.6">
      <c r="C29" s="51" t="s">
        <v>33</v>
      </c>
      <c r="D29" s="52" t="s">
        <v>44</v>
      </c>
    </row>
    <row r="30" spans="2:4" ht="15.6">
      <c r="C30" s="16"/>
      <c r="D30" s="16"/>
    </row>
    <row r="31" spans="2:4" ht="15.6">
      <c r="C31" s="11" t="s">
        <v>34</v>
      </c>
      <c r="D31" s="52" t="s">
        <v>34</v>
      </c>
    </row>
    <row r="32" spans="2:4" ht="15.6">
      <c r="C32" s="11" t="s">
        <v>35</v>
      </c>
      <c r="D32" s="11" t="s">
        <v>35</v>
      </c>
    </row>
    <row r="34" ht="54.9" customHeight="1"/>
    <row r="35" ht="54.9" customHeight="1"/>
    <row r="36" ht="54.9" customHeight="1"/>
    <row r="37" ht="54.9" customHeight="1"/>
    <row r="38" ht="54.9" customHeight="1"/>
  </sheetData>
  <mergeCells count="6">
    <mergeCell ref="C9:C10"/>
    <mergeCell ref="C2:D2"/>
    <mergeCell ref="B9:B10"/>
    <mergeCell ref="C5:D5"/>
    <mergeCell ref="C7:D7"/>
    <mergeCell ref="C4:G4"/>
  </mergeCells>
  <phoneticPr fontId="0" type="noConversion"/>
  <printOptions horizontalCentered="1"/>
  <pageMargins left="1.1023622047244095" right="0.39370078740157483" top="0.62992125984251968" bottom="0.98425196850393704" header="0.51181102362204722" footer="0.51181102362204722"/>
  <pageSetup paperSize="9" scale="84" orientation="portrait" horizontalDpi="120" verticalDpi="144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1111111211"/>
  <dimension ref="B1:E24"/>
  <sheetViews>
    <sheetView topLeftCell="A2" workbookViewId="0">
      <pane xSplit="1" topLeftCell="B1" activePane="topRight" state="frozen"/>
      <selection activeCell="E8" sqref="E8"/>
      <selection pane="topRight" activeCell="G13" sqref="G13"/>
    </sheetView>
  </sheetViews>
  <sheetFormatPr defaultColWidth="8.88671875" defaultRowHeight="13.2"/>
  <cols>
    <col min="1" max="1" width="0.44140625" style="1" customWidth="1"/>
    <col min="2" max="2" width="6" style="1" customWidth="1"/>
    <col min="3" max="3" width="66.109375" style="1" customWidth="1"/>
    <col min="4" max="4" width="17.33203125" style="1" customWidth="1"/>
    <col min="5" max="5" width="11.109375" style="1" customWidth="1"/>
    <col min="6" max="6" width="13.109375" style="1" customWidth="1"/>
    <col min="7" max="7" width="12.5546875" style="1" customWidth="1"/>
    <col min="8" max="8" width="10" style="1" bestFit="1" customWidth="1"/>
    <col min="9" max="9" width="22.109375" style="1" customWidth="1"/>
    <col min="10" max="10" width="0" style="1" hidden="1" customWidth="1"/>
    <col min="11" max="11" width="2.6640625" style="1" customWidth="1"/>
    <col min="12" max="16384" width="8.88671875" style="1"/>
  </cols>
  <sheetData>
    <row r="1" spans="2:5" ht="15.6">
      <c r="C1" s="25" t="s">
        <v>29</v>
      </c>
    </row>
    <row r="2" spans="2:5" ht="13.8" thickBot="1"/>
    <row r="3" spans="2:5">
      <c r="B3" s="26">
        <v>1</v>
      </c>
      <c r="C3" s="27" t="s">
        <v>7</v>
      </c>
      <c r="D3" s="66">
        <f>Лист1!D17*1000</f>
        <v>0</v>
      </c>
      <c r="E3" s="28" t="s">
        <v>1</v>
      </c>
    </row>
    <row r="4" spans="2:5">
      <c r="B4" s="29">
        <v>2</v>
      </c>
      <c r="C4" s="10" t="s">
        <v>8</v>
      </c>
      <c r="D4" s="67">
        <f>(Лист1!D12+Лист1!D13+Лист1!D14)*1000</f>
        <v>551745206</v>
      </c>
      <c r="E4" s="30" t="s">
        <v>1</v>
      </c>
    </row>
    <row r="5" spans="2:5">
      <c r="B5" s="29">
        <v>3</v>
      </c>
      <c r="C5" s="10" t="s">
        <v>9</v>
      </c>
      <c r="D5" s="24">
        <f>ROUND(D6*D7/D8*D9,0)</f>
        <v>5803177</v>
      </c>
      <c r="E5" s="30" t="s">
        <v>1</v>
      </c>
    </row>
    <row r="6" spans="2:5">
      <c r="B6" s="31" t="s">
        <v>13</v>
      </c>
      <c r="C6" s="10" t="s">
        <v>10</v>
      </c>
      <c r="D6" s="68">
        <f>Лист1!D7</f>
        <v>11394.736999999999</v>
      </c>
      <c r="E6" s="30" t="s">
        <v>25</v>
      </c>
    </row>
    <row r="7" spans="2:5" s="17" customFormat="1" ht="39.6">
      <c r="B7" s="32" t="s">
        <v>14</v>
      </c>
      <c r="C7" s="18" t="s">
        <v>11</v>
      </c>
      <c r="D7" s="62">
        <v>62000</v>
      </c>
      <c r="E7" s="33" t="s">
        <v>26</v>
      </c>
    </row>
    <row r="8" spans="2:5" s="17" customFormat="1" ht="26.4">
      <c r="B8" s="32" t="s">
        <v>15</v>
      </c>
      <c r="C8" s="18" t="s">
        <v>12</v>
      </c>
      <c r="D8" s="62">
        <v>168</v>
      </c>
      <c r="E8" s="33" t="s">
        <v>27</v>
      </c>
    </row>
    <row r="9" spans="2:5">
      <c r="B9" s="32" t="s">
        <v>16</v>
      </c>
      <c r="C9" s="10" t="s">
        <v>17</v>
      </c>
      <c r="D9" s="63">
        <v>1.38</v>
      </c>
      <c r="E9" s="34"/>
    </row>
    <row r="10" spans="2:5">
      <c r="B10" s="29">
        <v>4</v>
      </c>
      <c r="C10" s="10" t="s">
        <v>18</v>
      </c>
      <c r="D10" s="67">
        <f>Лист1!D11*1000</f>
        <v>77822360</v>
      </c>
      <c r="E10" s="30" t="s">
        <v>1</v>
      </c>
    </row>
    <row r="11" spans="2:5">
      <c r="B11" s="29">
        <v>5</v>
      </c>
      <c r="C11" s="10" t="s">
        <v>19</v>
      </c>
      <c r="D11" s="24">
        <f>ROUND(IF(D12&gt;0,($D$3+$D$4+$D$5+$D$10)*D12,D13),0)</f>
        <v>228733467</v>
      </c>
      <c r="E11" s="30" t="s">
        <v>1</v>
      </c>
    </row>
    <row r="12" spans="2:5">
      <c r="B12" s="35"/>
      <c r="C12" s="19" t="s">
        <v>20</v>
      </c>
      <c r="D12" s="72">
        <v>0.36</v>
      </c>
      <c r="E12" s="36" t="s">
        <v>28</v>
      </c>
    </row>
    <row r="13" spans="2:5">
      <c r="B13" s="35"/>
      <c r="C13" s="19" t="s">
        <v>21</v>
      </c>
      <c r="D13" s="63"/>
      <c r="E13" s="30" t="s">
        <v>1</v>
      </c>
    </row>
    <row r="14" spans="2:5">
      <c r="B14" s="29">
        <v>6</v>
      </c>
      <c r="C14" s="10" t="s">
        <v>22</v>
      </c>
      <c r="D14" s="24">
        <f>ROUND(IF(D15&gt;0,($D$3+$D$4+$D$5+$D$10)*D15,D16),0)</f>
        <v>0</v>
      </c>
      <c r="E14" s="30" t="s">
        <v>1</v>
      </c>
    </row>
    <row r="15" spans="2:5">
      <c r="B15" s="29"/>
      <c r="C15" s="19" t="s">
        <v>20</v>
      </c>
      <c r="D15" s="71">
        <v>0</v>
      </c>
      <c r="E15" s="36" t="s">
        <v>28</v>
      </c>
    </row>
    <row r="16" spans="2:5">
      <c r="B16" s="29"/>
      <c r="C16" s="19" t="s">
        <v>21</v>
      </c>
      <c r="D16" s="63"/>
      <c r="E16" s="30" t="s">
        <v>1</v>
      </c>
    </row>
    <row r="17" spans="2:5">
      <c r="B17" s="29">
        <v>7</v>
      </c>
      <c r="C17" s="10" t="s">
        <v>23</v>
      </c>
      <c r="D17" s="24">
        <f>ROUND(IF(D18&gt;0,($D$3+$D$4+$D$5+$D$10+$D$11+$D$14)*D18,D19),0)</f>
        <v>345641684</v>
      </c>
      <c r="E17" s="30" t="s">
        <v>1</v>
      </c>
    </row>
    <row r="18" spans="2:5">
      <c r="B18" s="48"/>
      <c r="C18" s="19" t="s">
        <v>20</v>
      </c>
      <c r="D18" s="70">
        <v>0.4</v>
      </c>
      <c r="E18" s="50" t="s">
        <v>28</v>
      </c>
    </row>
    <row r="19" spans="2:5">
      <c r="B19" s="48"/>
      <c r="C19" s="19" t="s">
        <v>21</v>
      </c>
      <c r="D19" s="64"/>
      <c r="E19" s="49" t="s">
        <v>1</v>
      </c>
    </row>
    <row r="20" spans="2:5" ht="13.8" thickBot="1">
      <c r="B20" s="37">
        <v>8</v>
      </c>
      <c r="C20" s="38" t="s">
        <v>24</v>
      </c>
      <c r="D20" s="73">
        <f>Лист1!D23</f>
        <v>0</v>
      </c>
      <c r="E20" s="39"/>
    </row>
    <row r="21" spans="2:5" ht="13.8" thickBot="1">
      <c r="B21" s="40"/>
      <c r="C21" s="41"/>
      <c r="D21" s="42"/>
      <c r="E21" s="43"/>
    </row>
    <row r="22" spans="2:5" ht="13.8" thickBot="1">
      <c r="B22" s="44"/>
      <c r="C22" s="45" t="s">
        <v>31</v>
      </c>
      <c r="D22" s="47">
        <f>ROUND((D3+D4+D5+D10+D11+D14+D17)*D20,0)/1000</f>
        <v>0</v>
      </c>
      <c r="E22" s="46" t="s">
        <v>30</v>
      </c>
    </row>
    <row r="23" spans="2:5">
      <c r="B23" s="20"/>
      <c r="C23" s="21"/>
      <c r="D23" s="22"/>
      <c r="E23" s="23"/>
    </row>
    <row r="24" spans="2:5">
      <c r="D24" s="6"/>
      <c r="E24" s="6"/>
    </row>
  </sheetData>
  <phoneticPr fontId="0" type="noConversion"/>
  <pageMargins left="0.19685039370078741" right="0.19685039370078741" top="0.59055118110236227" bottom="0.98425196850393704" header="0.51181102362204722" footer="0.51181102362204722"/>
  <pageSetup paperSize="8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Форма</vt:lpstr>
      <vt:lpstr>Исходные данные</vt:lpstr>
      <vt:lpstr>Форма!Область_печати</vt:lpstr>
    </vt:vector>
  </TitlesOfParts>
  <Company>Servus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U. Shestakov</dc:creator>
  <cp:lastModifiedBy>4</cp:lastModifiedBy>
  <cp:lastPrinted>2021-08-02T05:59:42Z</cp:lastPrinted>
  <dcterms:created xsi:type="dcterms:W3CDTF">1999-01-10T09:40:42Z</dcterms:created>
  <dcterms:modified xsi:type="dcterms:W3CDTF">2021-08-10T07:50:34Z</dcterms:modified>
</cp:coreProperties>
</file>